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50" activeTab="0"/>
  </bookViews>
  <sheets>
    <sheet name="Sheet1" sheetId="1" r:id="rId1"/>
    <sheet name="Sheet2" sheetId="2" r:id="rId2"/>
    <sheet name="Sheet3" sheetId="3" r:id="rId3"/>
  </sheets>
  <definedNames>
    <definedName name="CC">'Sheet1'!$B$10</definedName>
    <definedName name="d">'Sheet1'!$B$3</definedName>
    <definedName name="da">'Sheet1'!$H$8</definedName>
    <definedName name="DD">'Sheet1'!$B$4</definedName>
    <definedName name="def">'Sheet1'!$E$4</definedName>
    <definedName name="dmax">'Sheet1'!$B$12</definedName>
    <definedName name="dp">'Sheet1'!$E$9</definedName>
    <definedName name="dt">'Sheet1'!$E$12</definedName>
    <definedName name="end">'Sheet1'!$H$3</definedName>
    <definedName name="G">'Sheet1'!$E$2</definedName>
    <definedName name="Kw">'Sheet1'!$B$11</definedName>
    <definedName name="La">'Sheet1'!$E$6</definedName>
    <definedName name="Lf">'Sheet1'!$B$6</definedName>
    <definedName name="Ls">'Sheet1'!$B$9</definedName>
    <definedName name="n">'Sheet1'!$B$8</definedName>
    <definedName name="nt">'Sheet1'!$E$3</definedName>
    <definedName name="P">'Sheet1'!$B$2</definedName>
    <definedName name="Pa">'Sheet1'!$H$9</definedName>
    <definedName name="pd">'Sheet1'!$H$2</definedName>
    <definedName name="SF">'Sheet1'!$H$6</definedName>
    <definedName name="Tau">'Sheet1'!$E$8</definedName>
    <definedName name="Taua">'Sheet1'!$H$10</definedName>
    <definedName name="tauall">'Sheet1'!$B$13</definedName>
    <definedName name="Taumax">'Sheet1'!$H$4</definedName>
    <definedName name="taut">'Sheet1'!$H$12</definedName>
    <definedName name="Tauu">'Sheet1'!$H$2</definedName>
  </definedNames>
  <calcPr fullCalcOnLoad="1"/>
</workbook>
</file>

<file path=xl/comments1.xml><?xml version="1.0" encoding="utf-8"?>
<comments xmlns="http://schemas.openxmlformats.org/spreadsheetml/2006/main">
  <authors>
    <author>Kassem Mourad</author>
  </authors>
  <commentList>
    <comment ref="K3" authorId="0">
      <text>
        <r>
          <rPr>
            <b/>
            <sz val="8"/>
            <rFont val="Tahoma"/>
            <family val="0"/>
          </rPr>
          <t>Total Coils = n
Solid Length = (n+1) d</t>
        </r>
      </text>
    </comment>
    <comment ref="K4" authorId="0">
      <text>
        <r>
          <rPr>
            <b/>
            <sz val="8"/>
            <rFont val="Tahoma"/>
            <family val="0"/>
          </rPr>
          <t>Total Coils = n
Solid Length = n d</t>
        </r>
      </text>
    </comment>
    <comment ref="K5" authorId="0">
      <text>
        <r>
          <rPr>
            <b/>
            <sz val="8"/>
            <rFont val="Tahoma"/>
            <family val="0"/>
          </rPr>
          <t>Total Coils = n + 2
Solid Length = (n+3) d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Total Coils = n+2
Solid Length = (n+2) d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sz val="10"/>
            <rFont val="Tahoma"/>
            <family val="2"/>
          </rPr>
          <t xml:space="preserve">Axial Load 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sz val="10"/>
            <rFont val="Tahoma"/>
            <family val="2"/>
          </rPr>
          <t>Diameter of wire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sz val="10"/>
            <rFont val="Tahoma"/>
            <family val="2"/>
          </rPr>
          <t>Mean diameter of coil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sz val="8"/>
            <rFont val="Tahoma"/>
            <family val="0"/>
          </rPr>
          <t xml:space="preserve">Spring free length
</t>
        </r>
      </text>
    </comment>
    <comment ref="D2" authorId="0">
      <text>
        <r>
          <rPr>
            <sz val="10"/>
            <rFont val="Tahoma"/>
            <family val="2"/>
          </rPr>
          <t>Torsional modulus of elasticity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10"/>
            <rFont val="Tahoma"/>
            <family val="2"/>
          </rPr>
          <t>Total number of coils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0"/>
          </rPr>
          <t xml:space="preserve">Factor of safety
</t>
        </r>
      </text>
    </comment>
    <comment ref="G3" authorId="0">
      <text>
        <r>
          <rPr>
            <sz val="10"/>
            <rFont val="Tahoma"/>
            <family val="2"/>
          </rPr>
          <t>Types of Ends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sz val="10"/>
            <rFont val="Tahoma"/>
            <family val="2"/>
          </rPr>
          <t>Material shear strenth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10"/>
            <rFont val="Tahoma"/>
            <family val="2"/>
          </rPr>
          <t>Spring installed length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<sst xmlns="http://schemas.openxmlformats.org/spreadsheetml/2006/main" count="58" uniqueCount="55">
  <si>
    <t>End 1,2,3,4</t>
  </si>
  <si>
    <t>La</t>
  </si>
  <si>
    <t>n active</t>
  </si>
  <si>
    <t>CC</t>
  </si>
  <si>
    <t>Kw</t>
  </si>
  <si>
    <t>Tau a</t>
  </si>
  <si>
    <t>SF</t>
  </si>
  <si>
    <t>Check tau</t>
  </si>
  <si>
    <t>Check buck</t>
  </si>
  <si>
    <t>d [mm]</t>
  </si>
  <si>
    <t>DD [mm]</t>
  </si>
  <si>
    <t>Lf [mm]</t>
  </si>
  <si>
    <t>G [Mpa]</t>
  </si>
  <si>
    <t xml:space="preserve">n t </t>
  </si>
  <si>
    <t xml:space="preserve">Tau u </t>
  </si>
  <si>
    <t>Plain</t>
  </si>
  <si>
    <t xml:space="preserve">Squared </t>
  </si>
  <si>
    <t>Squared and ground</t>
  </si>
  <si>
    <t>Plain grournd</t>
  </si>
  <si>
    <t>dmax [mm]</t>
  </si>
  <si>
    <t>Tau all [kPa]</t>
  </si>
  <si>
    <t>Tau [kPa]</t>
  </si>
  <si>
    <t>Pa [N]</t>
  </si>
  <si>
    <t>Tau a [kPa]</t>
  </si>
  <si>
    <t>Tau t [kPa]</t>
  </si>
  <si>
    <t>Ks [N/mm]</t>
  </si>
  <si>
    <t>Ls [mm]</t>
  </si>
  <si>
    <t>Free spring</t>
  </si>
  <si>
    <t>Instaled spring</t>
  </si>
  <si>
    <t xml:space="preserve">Inst &amp; loaded </t>
  </si>
  <si>
    <t>Length (L) mm</t>
  </si>
  <si>
    <t>Load (P) N</t>
  </si>
  <si>
    <t>Shear stress (Tau) kPa</t>
  </si>
  <si>
    <t xml:space="preserve">Max </t>
  </si>
  <si>
    <t>Final (total)</t>
  </si>
  <si>
    <t>Condition</t>
  </si>
  <si>
    <t xml:space="preserve">Safe buckling </t>
  </si>
  <si>
    <t>(Lf / D) &lt; 3</t>
  </si>
  <si>
    <t>Results</t>
  </si>
  <si>
    <t>Check def</t>
  </si>
  <si>
    <t>def a [mm]</t>
  </si>
  <si>
    <t>def p [mm]</t>
  </si>
  <si>
    <t>Deflection- def (delta) mm</t>
  </si>
  <si>
    <t>def t</t>
  </si>
  <si>
    <t>P load</t>
  </si>
  <si>
    <t>P load [N]</t>
  </si>
  <si>
    <t>(def)p</t>
  </si>
  <si>
    <t>(Tau)p</t>
  </si>
  <si>
    <t>(def) a</t>
  </si>
  <si>
    <t>(P)a</t>
  </si>
  <si>
    <t xml:space="preserve">Instal </t>
  </si>
  <si>
    <t>Load</t>
  </si>
  <si>
    <t>+</t>
  </si>
  <si>
    <t>=</t>
  </si>
  <si>
    <t>Types of Ends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</si>
</sst>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2" fillId="4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2" fillId="5" borderId="0" xfId="0" applyFont="1" applyFill="1" applyAlignment="1">
      <alignment/>
    </xf>
    <xf numFmtId="0" fontId="0" fillId="0" borderId="0" xfId="0" applyAlignment="1">
      <alignment horizontal="left"/>
    </xf>
    <xf numFmtId="0" fontId="0" fillId="6" borderId="1" xfId="0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7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2" fillId="7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2" fillId="7" borderId="12" xfId="0" applyNumberFormat="1" applyFont="1" applyFill="1" applyBorder="1" applyAlignment="1">
      <alignment horizontal="center"/>
    </xf>
    <xf numFmtId="2" fontId="4" fillId="7" borderId="12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workbookViewId="0" topLeftCell="A2">
      <selection activeCell="B2" sqref="B2"/>
    </sheetView>
  </sheetViews>
  <sheetFormatPr defaultColWidth="9.140625" defaultRowHeight="12.75"/>
  <cols>
    <col min="1" max="1" width="12.8515625" style="0" customWidth="1"/>
    <col min="3" max="3" width="5.140625" style="0" customWidth="1"/>
    <col min="4" max="4" width="10.00390625" style="0" bestFit="1" customWidth="1"/>
    <col min="5" max="5" width="9.8515625" style="0" customWidth="1"/>
    <col min="6" max="6" width="3.8515625" style="0" customWidth="1"/>
    <col min="7" max="7" width="10.57421875" style="0" bestFit="1" customWidth="1"/>
    <col min="8" max="8" width="8.28125" style="0" customWidth="1"/>
    <col min="9" max="9" width="2.421875" style="0" customWidth="1"/>
    <col min="10" max="10" width="2.00390625" style="0" customWidth="1"/>
    <col min="11" max="11" width="8.421875" style="0" customWidth="1"/>
  </cols>
  <sheetData>
    <row r="2" spans="1:12" ht="12.75">
      <c r="A2" s="1" t="s">
        <v>45</v>
      </c>
      <c r="B2" s="15">
        <v>3000</v>
      </c>
      <c r="D2" s="1" t="s">
        <v>12</v>
      </c>
      <c r="E2" s="15">
        <v>80000</v>
      </c>
      <c r="J2" s="39" t="s">
        <v>54</v>
      </c>
      <c r="K2" s="39"/>
      <c r="L2" s="39"/>
    </row>
    <row r="3" spans="1:12" ht="12.75">
      <c r="A3" s="1" t="s">
        <v>9</v>
      </c>
      <c r="B3" s="15">
        <v>17</v>
      </c>
      <c r="D3" s="1" t="s">
        <v>13</v>
      </c>
      <c r="E3" s="15">
        <v>10</v>
      </c>
      <c r="G3" s="1" t="s">
        <v>0</v>
      </c>
      <c r="H3" s="15">
        <v>4</v>
      </c>
      <c r="J3" s="1">
        <v>1</v>
      </c>
      <c r="K3" s="16" t="s">
        <v>15</v>
      </c>
      <c r="L3" s="16"/>
    </row>
    <row r="4" spans="1:12" ht="12.75">
      <c r="A4" s="1" t="s">
        <v>10</v>
      </c>
      <c r="B4" s="15">
        <v>136</v>
      </c>
      <c r="G4" s="1" t="s">
        <v>14</v>
      </c>
      <c r="H4" s="15">
        <v>1200</v>
      </c>
      <c r="J4" s="1">
        <v>2</v>
      </c>
      <c r="K4" s="16" t="s">
        <v>18</v>
      </c>
      <c r="L4" s="16"/>
    </row>
    <row r="5" spans="10:12" ht="12.75">
      <c r="J5" s="1">
        <v>3</v>
      </c>
      <c r="K5" s="16" t="s">
        <v>16</v>
      </c>
      <c r="L5" s="16"/>
    </row>
    <row r="6" spans="1:12" ht="12.75">
      <c r="A6" s="1" t="s">
        <v>11</v>
      </c>
      <c r="B6" s="15">
        <v>390</v>
      </c>
      <c r="D6" s="1" t="s">
        <v>1</v>
      </c>
      <c r="E6" s="15">
        <v>290</v>
      </c>
      <c r="G6" s="1" t="s">
        <v>6</v>
      </c>
      <c r="H6" s="15">
        <v>2</v>
      </c>
      <c r="J6" s="1">
        <v>4</v>
      </c>
      <c r="K6" s="46" t="s">
        <v>17</v>
      </c>
      <c r="L6" s="46"/>
    </row>
    <row r="8" spans="1:8" ht="12.75">
      <c r="A8" s="1" t="s">
        <v>2</v>
      </c>
      <c r="B8" s="2">
        <f>IF(end=1,nt,IF(end=2,nt,IF(end=3,nt-2,IF(end=4,nt-2,FALSE))))</f>
        <v>8</v>
      </c>
      <c r="D8" s="1" t="s">
        <v>21</v>
      </c>
      <c r="E8" s="4">
        <f>((8*P*DD)/(PI()*d^3))*Kw</f>
        <v>250.38699361442897</v>
      </c>
      <c r="G8" s="1" t="s">
        <v>40</v>
      </c>
      <c r="H8" s="2">
        <f>Lf-La</f>
        <v>100</v>
      </c>
    </row>
    <row r="9" spans="1:12" ht="12.75">
      <c r="A9" s="1" t="s">
        <v>26</v>
      </c>
      <c r="B9" s="2">
        <f>IF(end=1,(n+1)*d,IF(end=2,n*d,IF(end=3,(n+3)*d,IF(end=4,(n+2)*d,FALSE))))</f>
        <v>170</v>
      </c>
      <c r="D9" s="1" t="s">
        <v>41</v>
      </c>
      <c r="E9" s="4">
        <f>(8*P*DD^3*n)/(G*d^4)</f>
        <v>72.28235294117647</v>
      </c>
      <c r="G9" s="1" t="s">
        <v>22</v>
      </c>
      <c r="H9" s="4">
        <f>da*G*d^4/(8*DD^3*n)</f>
        <v>4150.390625</v>
      </c>
      <c r="K9" s="23" t="s">
        <v>36</v>
      </c>
      <c r="L9" s="23"/>
    </row>
    <row r="10" spans="1:12" ht="12.75">
      <c r="A10" s="1" t="s">
        <v>3</v>
      </c>
      <c r="B10" s="2">
        <f>DD/d</f>
        <v>8</v>
      </c>
      <c r="G10" s="1" t="s">
        <v>23</v>
      </c>
      <c r="H10" s="4">
        <f>((8*Pa*DD)/(PI()*d^3))*Kw</f>
        <v>346.40127697308696</v>
      </c>
      <c r="K10" s="1" t="s">
        <v>35</v>
      </c>
      <c r="L10" s="8" t="s">
        <v>37</v>
      </c>
    </row>
    <row r="11" spans="1:12" ht="12.75">
      <c r="A11" s="1" t="s">
        <v>4</v>
      </c>
      <c r="B11" s="4">
        <f>(4*CC-1)/(4*CC-4)+0.615/CC</f>
        <v>1.1840178571428572</v>
      </c>
      <c r="K11" s="29" t="str">
        <f>IF(Lf/DD&lt;=3,"Lf / D &lt;=3","Lf / D &gt; 3")</f>
        <v>Lf / D &lt;=3</v>
      </c>
      <c r="L11" s="29"/>
    </row>
    <row r="12" spans="1:12" ht="12.75">
      <c r="A12" s="1" t="s">
        <v>19</v>
      </c>
      <c r="B12" s="2">
        <f>Lf-Ls</f>
        <v>220</v>
      </c>
      <c r="D12" s="1" t="s">
        <v>43</v>
      </c>
      <c r="E12" s="4">
        <f>da+dp</f>
        <v>172.28235294117647</v>
      </c>
      <c r="G12" s="3" t="s">
        <v>24</v>
      </c>
      <c r="H12" s="4">
        <f>Tau+Taua</f>
        <v>596.788270587516</v>
      </c>
      <c r="K12" s="30" t="str">
        <f>H15</f>
        <v>Safe</v>
      </c>
      <c r="L12" s="30"/>
    </row>
    <row r="13" spans="1:5" ht="12.75">
      <c r="A13" s="1" t="s">
        <v>20</v>
      </c>
      <c r="B13" s="2">
        <f>Taumax/SF</f>
        <v>600</v>
      </c>
      <c r="D13" s="3" t="s">
        <v>25</v>
      </c>
      <c r="E13" s="4">
        <f>(G*d^4)/(8*DD^3*n)</f>
        <v>41.50390625</v>
      </c>
    </row>
    <row r="15" spans="1:8" ht="12.75">
      <c r="A15" s="1" t="s">
        <v>39</v>
      </c>
      <c r="B15" s="5" t="str">
        <f>IF(dt&lt;=dmax,"Safe","Not safe")</f>
        <v>Safe</v>
      </c>
      <c r="D15" s="1" t="s">
        <v>7</v>
      </c>
      <c r="E15" s="5" t="str">
        <f>IF(taut&lt;=tauall,"Safe","Not safe")</f>
        <v>Safe</v>
      </c>
      <c r="G15" s="1" t="s">
        <v>8</v>
      </c>
      <c r="H15" s="5" t="str">
        <f>IF((Lf/DD)&lt;=3,"Safe","Not safe")</f>
        <v>Safe</v>
      </c>
    </row>
    <row r="17" ht="13.5" thickBot="1"/>
    <row r="18" spans="1:12" ht="12.75">
      <c r="A18" s="9"/>
      <c r="B18" s="43" t="s">
        <v>30</v>
      </c>
      <c r="C18" s="43"/>
      <c r="D18" s="43" t="s">
        <v>42</v>
      </c>
      <c r="E18" s="43"/>
      <c r="F18" s="43"/>
      <c r="G18" s="43" t="s">
        <v>31</v>
      </c>
      <c r="H18" s="43"/>
      <c r="I18" s="43"/>
      <c r="J18" s="43" t="s">
        <v>32</v>
      </c>
      <c r="K18" s="43"/>
      <c r="L18" s="44"/>
    </row>
    <row r="19" spans="1:12" ht="12.75">
      <c r="A19" s="10" t="s">
        <v>27</v>
      </c>
      <c r="B19" s="39">
        <f>Lf</f>
        <v>390</v>
      </c>
      <c r="C19" s="39"/>
      <c r="D19" s="39">
        <v>0</v>
      </c>
      <c r="E19" s="39"/>
      <c r="F19" s="39"/>
      <c r="G19" s="39">
        <v>0</v>
      </c>
      <c r="H19" s="39"/>
      <c r="I19" s="39"/>
      <c r="J19" s="23">
        <v>0</v>
      </c>
      <c r="K19" s="23"/>
      <c r="L19" s="45"/>
    </row>
    <row r="20" spans="1:12" ht="12.75">
      <c r="A20" s="10" t="s">
        <v>28</v>
      </c>
      <c r="B20" s="39">
        <f>La</f>
        <v>290</v>
      </c>
      <c r="C20" s="39"/>
      <c r="D20" s="39">
        <f>Lf-La</f>
        <v>100</v>
      </c>
      <c r="E20" s="39"/>
      <c r="F20" s="39"/>
      <c r="G20" s="38">
        <f>Pa</f>
        <v>4150.390625</v>
      </c>
      <c r="H20" s="38"/>
      <c r="I20" s="38"/>
      <c r="J20" s="38">
        <f>Taua</f>
        <v>346.40127697308696</v>
      </c>
      <c r="K20" s="38"/>
      <c r="L20" s="40"/>
    </row>
    <row r="21" spans="1:12" ht="12.75">
      <c r="A21" s="10" t="s">
        <v>29</v>
      </c>
      <c r="B21" s="38">
        <f>Lf-(da+dp)</f>
        <v>217.71764705882353</v>
      </c>
      <c r="C21" s="38"/>
      <c r="D21" s="38">
        <f>dp</f>
        <v>72.28235294117647</v>
      </c>
      <c r="E21" s="38"/>
      <c r="F21" s="38"/>
      <c r="G21" s="39">
        <f>P</f>
        <v>3000</v>
      </c>
      <c r="H21" s="39"/>
      <c r="I21" s="39"/>
      <c r="J21" s="38">
        <f>Tau</f>
        <v>250.38699361442897</v>
      </c>
      <c r="K21" s="38"/>
      <c r="L21" s="40"/>
    </row>
    <row r="22" spans="1:12" ht="12.75">
      <c r="A22" s="11" t="s">
        <v>34</v>
      </c>
      <c r="B22" s="21">
        <f>B21</f>
        <v>217.71764705882353</v>
      </c>
      <c r="C22" s="22"/>
      <c r="D22" s="34">
        <f>da+dp</f>
        <v>172.28235294117647</v>
      </c>
      <c r="E22" s="34"/>
      <c r="F22" s="34"/>
      <c r="G22" s="37">
        <f>Pa+P</f>
        <v>7150.390625</v>
      </c>
      <c r="H22" s="37"/>
      <c r="I22" s="37"/>
      <c r="J22" s="34">
        <f>Taua+Tau</f>
        <v>596.788270587516</v>
      </c>
      <c r="K22" s="34"/>
      <c r="L22" s="41"/>
    </row>
    <row r="23" spans="1:12" ht="12.75">
      <c r="A23" s="11" t="s">
        <v>33</v>
      </c>
      <c r="B23" s="35">
        <f>Ls</f>
        <v>170</v>
      </c>
      <c r="C23" s="35"/>
      <c r="D23" s="36">
        <f>Lf-Ls</f>
        <v>220</v>
      </c>
      <c r="E23" s="36"/>
      <c r="F23" s="36"/>
      <c r="G23" s="19"/>
      <c r="H23" s="33"/>
      <c r="I23" s="20"/>
      <c r="J23" s="36">
        <f>tauall</f>
        <v>600</v>
      </c>
      <c r="K23" s="36"/>
      <c r="L23" s="42"/>
    </row>
    <row r="24" spans="1:12" ht="12.75">
      <c r="A24" s="11" t="s">
        <v>35</v>
      </c>
      <c r="B24" s="19"/>
      <c r="C24" s="20"/>
      <c r="D24" s="31" t="str">
        <f>IF(D22&lt;=D23,"def &lt; max def","def &gt; max def")</f>
        <v>def &lt; max def</v>
      </c>
      <c r="E24" s="31"/>
      <c r="F24" s="31"/>
      <c r="G24" s="19"/>
      <c r="H24" s="33"/>
      <c r="I24" s="20"/>
      <c r="J24" s="31" t="str">
        <f>IF(J23&lt;=J22,"Tau total &lt; Tau alll","Tau total &lt; Tau total")</f>
        <v>Tau total &lt; Tau total</v>
      </c>
      <c r="K24" s="31"/>
      <c r="L24" s="32"/>
    </row>
    <row r="25" spans="1:12" ht="13.5" thickBot="1">
      <c r="A25" s="12" t="s">
        <v>38</v>
      </c>
      <c r="B25" s="28"/>
      <c r="C25" s="28"/>
      <c r="D25" s="24" t="str">
        <f>B15</f>
        <v>Safe</v>
      </c>
      <c r="E25" s="25"/>
      <c r="F25" s="27"/>
      <c r="G25" s="28"/>
      <c r="H25" s="28"/>
      <c r="I25" s="28"/>
      <c r="J25" s="24" t="str">
        <f>E15</f>
        <v>Safe</v>
      </c>
      <c r="K25" s="25"/>
      <c r="L25" s="26"/>
    </row>
    <row r="27" spans="5:7" ht="12.75">
      <c r="E27" s="6" t="s">
        <v>50</v>
      </c>
      <c r="G27" s="6" t="s">
        <v>51</v>
      </c>
    </row>
    <row r="28" spans="5:11" ht="12.75">
      <c r="E28" s="13" t="s">
        <v>48</v>
      </c>
      <c r="F28" s="7" t="s">
        <v>52</v>
      </c>
      <c r="G28" t="s">
        <v>46</v>
      </c>
      <c r="H28" s="7" t="s">
        <v>53</v>
      </c>
      <c r="I28" s="17">
        <f>D22</f>
        <v>172.28235294117647</v>
      </c>
      <c r="J28" s="18"/>
      <c r="K28" s="18"/>
    </row>
    <row r="29" spans="5:8" ht="12.75">
      <c r="E29" t="s">
        <v>49</v>
      </c>
      <c r="F29" s="6"/>
      <c r="G29" s="13" t="s">
        <v>44</v>
      </c>
      <c r="H29" s="6"/>
    </row>
    <row r="30" spans="5:11" ht="12.75">
      <c r="E30" t="s">
        <v>5</v>
      </c>
      <c r="F30" s="7" t="s">
        <v>52</v>
      </c>
      <c r="G30" t="s">
        <v>47</v>
      </c>
      <c r="H30" s="7" t="s">
        <v>53</v>
      </c>
      <c r="I30" s="17">
        <f>J22</f>
        <v>596.788270587516</v>
      </c>
      <c r="J30" s="18"/>
      <c r="K30" s="18"/>
    </row>
    <row r="31" ht="12.75">
      <c r="I31" s="14"/>
    </row>
  </sheetData>
  <sheetProtection password="CA2D" sheet="1" objects="1" scenarios="1" selectLockedCells="1"/>
  <mergeCells count="42">
    <mergeCell ref="K6:L6"/>
    <mergeCell ref="J2:L2"/>
    <mergeCell ref="K3:L3"/>
    <mergeCell ref="K4:L4"/>
    <mergeCell ref="K5:L5"/>
    <mergeCell ref="J22:L22"/>
    <mergeCell ref="J23:L23"/>
    <mergeCell ref="B18:C18"/>
    <mergeCell ref="J18:L18"/>
    <mergeCell ref="D18:F18"/>
    <mergeCell ref="G18:I18"/>
    <mergeCell ref="J19:L19"/>
    <mergeCell ref="G19:I19"/>
    <mergeCell ref="B20:C20"/>
    <mergeCell ref="D20:F20"/>
    <mergeCell ref="G20:I20"/>
    <mergeCell ref="J20:L20"/>
    <mergeCell ref="B19:C19"/>
    <mergeCell ref="D19:F19"/>
    <mergeCell ref="B21:C21"/>
    <mergeCell ref="D21:F21"/>
    <mergeCell ref="G21:I21"/>
    <mergeCell ref="J21:L21"/>
    <mergeCell ref="D22:F22"/>
    <mergeCell ref="B23:C23"/>
    <mergeCell ref="D23:F23"/>
    <mergeCell ref="G23:I23"/>
    <mergeCell ref="G22:I22"/>
    <mergeCell ref="J24:L24"/>
    <mergeCell ref="D24:F24"/>
    <mergeCell ref="G24:I24"/>
    <mergeCell ref="I28:K28"/>
    <mergeCell ref="I30:K30"/>
    <mergeCell ref="B24:C24"/>
    <mergeCell ref="B22:C22"/>
    <mergeCell ref="K9:L9"/>
    <mergeCell ref="J25:L25"/>
    <mergeCell ref="D25:F25"/>
    <mergeCell ref="G25:I25"/>
    <mergeCell ref="B25:C25"/>
    <mergeCell ref="K11:L11"/>
    <mergeCell ref="K12:L12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cp:lastPrinted>2008-06-05T14:54:52Z</cp:lastPrinted>
  <dcterms:created xsi:type="dcterms:W3CDTF">2008-05-10T14:20:19Z</dcterms:created>
  <dcterms:modified xsi:type="dcterms:W3CDTF">2008-06-06T11:17:05Z</dcterms:modified>
  <cp:category/>
  <cp:version/>
  <cp:contentType/>
  <cp:contentStatus/>
</cp:coreProperties>
</file>