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1"/>
  </bookViews>
  <sheets>
    <sheet name="Performance curves" sheetId="1" r:id="rId1"/>
    <sheet name="Data sheet" sheetId="2" r:id="rId2"/>
  </sheets>
  <definedNames>
    <definedName name="Af">'Data sheet'!$K$3</definedName>
    <definedName name="AR">'Data sheet'!$B$25:$I$25</definedName>
    <definedName name="CD">'Data sheet'!$K$1</definedName>
    <definedName name="Eta">'Data sheet'!$E$2</definedName>
    <definedName name="fr">'Data sheet'!$E$4</definedName>
    <definedName name="GR2P">'Data sheet'!$B$28:$I$28</definedName>
    <definedName name="GR4P">'Data sheet'!$B$30:$I$30</definedName>
    <definedName name="if">'Data sheet'!$H$5</definedName>
    <definedName name="ig_1">'Data sheet'!$H$1</definedName>
    <definedName name="ig_2">'Data sheet'!$H$2</definedName>
    <definedName name="ig_3">'Data sheet'!$H$3</definedName>
    <definedName name="ig_4">'Data sheet'!$H$4</definedName>
    <definedName name="ig_5">'Data sheet'!$H$6</definedName>
    <definedName name="K">'Data sheet'!$L$5</definedName>
    <definedName name="m">'Data sheet'!$E$5</definedName>
    <definedName name="Npmax">'Data sheet'!$D$1</definedName>
    <definedName name="Nwmax">'Data sheet'!$B$5</definedName>
    <definedName name="Row">'Data sheet'!$K$2</definedName>
    <definedName name="RR">'Data sheet'!$B$26:$I$26</definedName>
    <definedName name="rw">'Data sheet'!$E$1</definedName>
    <definedName name="Temax">'Data sheet'!$L$3</definedName>
    <definedName name="Tmax">'Data sheet'!$B$2</definedName>
    <definedName name="TR">'Data sheet'!$B$27:$I$27</definedName>
    <definedName name="V">'Data sheet'!$B$24:$I$24</definedName>
    <definedName name="xxx">'Data sheet'!#REF!</definedName>
  </definedNames>
  <calcPr fullCalcOnLoad="1"/>
</workbook>
</file>

<file path=xl/sharedStrings.xml><?xml version="1.0" encoding="utf-8"?>
<sst xmlns="http://schemas.openxmlformats.org/spreadsheetml/2006/main" count="48" uniqueCount="45">
  <si>
    <t>Pmax  [kW]</t>
  </si>
  <si>
    <t>Npmax [rpm]</t>
  </si>
  <si>
    <t>ig_1</t>
  </si>
  <si>
    <t>ig_2</t>
  </si>
  <si>
    <t>ig_3</t>
  </si>
  <si>
    <t>ig_4</t>
  </si>
  <si>
    <t>if</t>
  </si>
  <si>
    <t>V1      [km/h]</t>
  </si>
  <si>
    <t>Eta</t>
  </si>
  <si>
    <t>V2      [km/h]</t>
  </si>
  <si>
    <t>TE1    [N]</t>
  </si>
  <si>
    <t>TE2    [N]</t>
  </si>
  <si>
    <t>V3      [km/h]</t>
  </si>
  <si>
    <t>TE3    [N]</t>
  </si>
  <si>
    <t>TE4    [N]</t>
  </si>
  <si>
    <t>fr</t>
  </si>
  <si>
    <t>cd</t>
  </si>
  <si>
    <t>V4     [km/h]</t>
  </si>
  <si>
    <t>V       [km/h]</t>
  </si>
  <si>
    <t>AR     [N]</t>
  </si>
  <si>
    <t>RR     [N]</t>
  </si>
  <si>
    <t>TR     [N]</t>
  </si>
  <si>
    <t>ig_5</t>
  </si>
  <si>
    <t>TE5    [N]</t>
  </si>
  <si>
    <t>V5     [km/h]</t>
  </si>
  <si>
    <t xml:space="preserve">Tire Dimension </t>
  </si>
  <si>
    <t>***</t>
  </si>
  <si>
    <t>/</t>
  </si>
  <si>
    <t>**</t>
  </si>
  <si>
    <t>R</t>
  </si>
  <si>
    <t>Rw  [m]</t>
  </si>
  <si>
    <t>Af   [sq m]</t>
  </si>
  <si>
    <t>m   [kg]</t>
  </si>
  <si>
    <t>Nmax  [rpm]</t>
  </si>
  <si>
    <t>** % of free radius</t>
  </si>
  <si>
    <t>Tire rolling radius (Rw)</t>
  </si>
  <si>
    <t>"= 0 if there is no 5th gear"</t>
  </si>
  <si>
    <t>Ne        [rpm]</t>
  </si>
  <si>
    <t>Pe        [kW]</t>
  </si>
  <si>
    <t>Te        [N.m]</t>
  </si>
  <si>
    <t>row [kg/cu m]</t>
  </si>
  <si>
    <t>GR    [N] 20%</t>
  </si>
  <si>
    <t>TR+GR20%  [N]</t>
  </si>
  <si>
    <t>GR    [N] 40%</t>
  </si>
  <si>
    <t>TR+GR40%  [N]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</si>
</sst>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2" borderId="2" xfId="0" applyNumberFormat="1" applyFill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66" fontId="0" fillId="0" borderId="9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3" borderId="3" xfId="0" applyFill="1" applyBorder="1" applyAlignment="1">
      <alignment/>
    </xf>
    <xf numFmtId="166" fontId="0" fillId="3" borderId="4" xfId="0" applyNumberFormat="1" applyFill="1" applyBorder="1" applyAlignment="1">
      <alignment/>
    </xf>
    <xf numFmtId="166" fontId="0" fillId="3" borderId="5" xfId="0" applyNumberFormat="1" applyFill="1" applyBorder="1" applyAlignment="1">
      <alignment/>
    </xf>
    <xf numFmtId="0" fontId="0" fillId="3" borderId="8" xfId="0" applyFill="1" applyBorder="1" applyAlignment="1">
      <alignment/>
    </xf>
    <xf numFmtId="1" fontId="0" fillId="3" borderId="9" xfId="0" applyNumberFormat="1" applyFill="1" applyBorder="1" applyAlignment="1">
      <alignment/>
    </xf>
    <xf numFmtId="1" fontId="0" fillId="3" borderId="10" xfId="0" applyNumberFormat="1" applyFill="1" applyBorder="1" applyAlignment="1">
      <alignment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3" borderId="4" xfId="0" applyNumberFormat="1" applyFill="1" applyBorder="1" applyAlignment="1">
      <alignment/>
    </xf>
    <xf numFmtId="1" fontId="0" fillId="3" borderId="5" xfId="0" applyNumberFormat="1" applyFill="1" applyBorder="1" applyAlignment="1">
      <alignment/>
    </xf>
    <xf numFmtId="1" fontId="0" fillId="0" borderId="7" xfId="0" applyNumberFormat="1" applyBorder="1" applyAlignment="1">
      <alignment/>
    </xf>
    <xf numFmtId="2" fontId="0" fillId="0" borderId="1" xfId="0" applyNumberForma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 Performance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1st gear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sheet'!$B$13:$I$13</c:f>
              <c:numCache>
                <c:ptCount val="8"/>
                <c:pt idx="0">
                  <c:v>8.015227618652274</c:v>
                </c:pt>
                <c:pt idx="1">
                  <c:v>16.030455237304547</c:v>
                </c:pt>
                <c:pt idx="2">
                  <c:v>24.045682855956823</c:v>
                </c:pt>
                <c:pt idx="3">
                  <c:v>32.060910474609095</c:v>
                </c:pt>
                <c:pt idx="4">
                  <c:v>40.07613809326137</c:v>
                </c:pt>
                <c:pt idx="5">
                  <c:v>48.091365711913646</c:v>
                </c:pt>
                <c:pt idx="6">
                  <c:v>56.10659333056592</c:v>
                </c:pt>
                <c:pt idx="7">
                  <c:v>56.10659333056592</c:v>
                </c:pt>
              </c:numCache>
            </c:numRef>
          </c:xVal>
          <c:yVal>
            <c:numRef>
              <c:f>'Data sheet'!$B$14:$I$14</c:f>
              <c:numCache>
                <c:ptCount val="8"/>
                <c:pt idx="0">
                  <c:v>6958.143740556418</c:v>
                </c:pt>
                <c:pt idx="1">
                  <c:v>7460.685770196499</c:v>
                </c:pt>
                <c:pt idx="2">
                  <c:v>7576.775279068849</c:v>
                </c:pt>
                <c:pt idx="3">
                  <c:v>7305.899758366695</c:v>
                </c:pt>
                <c:pt idx="4">
                  <c:v>6648.059208090034</c:v>
                </c:pt>
                <c:pt idx="5">
                  <c:v>5603.253628238865</c:v>
                </c:pt>
                <c:pt idx="6">
                  <c:v>4171.483018813187</c:v>
                </c:pt>
                <c:pt idx="7">
                  <c:v>4171.483018813187</c:v>
                </c:pt>
              </c:numCache>
            </c:numRef>
          </c:yVal>
          <c:smooth val="1"/>
        </c:ser>
        <c:ser>
          <c:idx val="1"/>
          <c:order val="1"/>
          <c:tx>
            <c:v>2nd gear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sheet'!$B$15:$I$15</c:f>
              <c:numCache>
                <c:ptCount val="8"/>
                <c:pt idx="0">
                  <c:v>12.90055008685582</c:v>
                </c:pt>
                <c:pt idx="1">
                  <c:v>25.80110017371164</c:v>
                </c:pt>
                <c:pt idx="2">
                  <c:v>38.701650260567455</c:v>
                </c:pt>
                <c:pt idx="3">
                  <c:v>51.60220034742328</c:v>
                </c:pt>
                <c:pt idx="4">
                  <c:v>64.5027504342791</c:v>
                </c:pt>
                <c:pt idx="5">
                  <c:v>77.40330052113491</c:v>
                </c:pt>
                <c:pt idx="6">
                  <c:v>90.30385060799073</c:v>
                </c:pt>
                <c:pt idx="7">
                  <c:v>90.30385060799073</c:v>
                </c:pt>
              </c:numCache>
            </c:numRef>
          </c:xVal>
          <c:yVal>
            <c:numRef>
              <c:f>'Data sheet'!$B$16:$I$16</c:f>
              <c:numCache>
                <c:ptCount val="8"/>
                <c:pt idx="0">
                  <c:v>4323.1571916212015</c:v>
                </c:pt>
                <c:pt idx="1">
                  <c:v>4635.391067571098</c:v>
                </c:pt>
                <c:pt idx="2">
                  <c:v>4707.5185219420155</c:v>
                </c:pt>
                <c:pt idx="3">
                  <c:v>4539.22112840987</c:v>
                </c:pt>
                <c:pt idx="4">
                  <c:v>4130.498886974659</c:v>
                </c:pt>
                <c:pt idx="5">
                  <c:v>3481.3517976363833</c:v>
                </c:pt>
                <c:pt idx="6">
                  <c:v>2591.7798603950423</c:v>
                </c:pt>
                <c:pt idx="7">
                  <c:v>2591.7798603950423</c:v>
                </c:pt>
              </c:numCache>
            </c:numRef>
          </c:yVal>
          <c:smooth val="1"/>
        </c:ser>
        <c:ser>
          <c:idx val="2"/>
          <c:order val="2"/>
          <c:tx>
            <c:v>3rd gear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sheet'!$B$17:$I$17</c:f>
              <c:numCache>
                <c:ptCount val="8"/>
                <c:pt idx="0">
                  <c:v>19.91680992985834</c:v>
                </c:pt>
                <c:pt idx="1">
                  <c:v>39.83361985971668</c:v>
                </c:pt>
                <c:pt idx="2">
                  <c:v>59.750429789575016</c:v>
                </c:pt>
                <c:pt idx="3">
                  <c:v>79.66723971943335</c:v>
                </c:pt>
                <c:pt idx="4">
                  <c:v>99.58404964929169</c:v>
                </c:pt>
                <c:pt idx="5">
                  <c:v>119.50085957915003</c:v>
                </c:pt>
                <c:pt idx="6">
                  <c:v>139.41766950900836</c:v>
                </c:pt>
                <c:pt idx="7">
                  <c:v>139.41766950900836</c:v>
                </c:pt>
              </c:numCache>
            </c:numRef>
          </c:xVal>
          <c:yVal>
            <c:numRef>
              <c:f>'Data sheet'!$B$18:$I$18</c:f>
              <c:numCache>
                <c:ptCount val="8"/>
                <c:pt idx="0">
                  <c:v>2800.2027473411213</c:v>
                </c:pt>
                <c:pt idx="1">
                  <c:v>3002.44340584468</c:v>
                </c:pt>
                <c:pt idx="2">
                  <c:v>3049.1619235704775</c:v>
                </c:pt>
                <c:pt idx="3">
                  <c:v>2940.152048876947</c:v>
                </c:pt>
                <c:pt idx="4">
                  <c:v>2675.4137817640867</c:v>
                </c:pt>
                <c:pt idx="5">
                  <c:v>2254.947122231896</c:v>
                </c:pt>
                <c:pt idx="6">
                  <c:v>1678.7520702803754</c:v>
                </c:pt>
                <c:pt idx="7">
                  <c:v>1678.7520702803754</c:v>
                </c:pt>
              </c:numCache>
            </c:numRef>
          </c:yVal>
          <c:smooth val="1"/>
        </c:ser>
        <c:ser>
          <c:idx val="3"/>
          <c:order val="3"/>
          <c:tx>
            <c:v>4th gear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sheet'!$B$19:$I$19</c:f>
              <c:numCache>
                <c:ptCount val="8"/>
                <c:pt idx="0">
                  <c:v>25.61286257516802</c:v>
                </c:pt>
                <c:pt idx="1">
                  <c:v>51.22572515033604</c:v>
                </c:pt>
                <c:pt idx="2">
                  <c:v>76.83858772550407</c:v>
                </c:pt>
                <c:pt idx="3">
                  <c:v>102.45145030067208</c:v>
                </c:pt>
                <c:pt idx="4">
                  <c:v>128.0643128758401</c:v>
                </c:pt>
                <c:pt idx="5">
                  <c:v>153.67717545100814</c:v>
                </c:pt>
                <c:pt idx="6">
                  <c:v>179.29003802617615</c:v>
                </c:pt>
                <c:pt idx="7">
                  <c:v>179.29003802617615</c:v>
                </c:pt>
              </c:numCache>
            </c:numRef>
          </c:xVal>
          <c:yVal>
            <c:numRef>
              <c:f>'Data sheet'!$B$20:$I$20</c:f>
              <c:numCache>
                <c:ptCount val="8"/>
                <c:pt idx="0">
                  <c:v>2177.464768734246</c:v>
                </c:pt>
                <c:pt idx="1">
                  <c:v>2334.7290629412487</c:v>
                </c:pt>
                <c:pt idx="2">
                  <c:v>2371.057834667512</c:v>
                </c:pt>
                <c:pt idx="3">
                  <c:v>2286.2907006395626</c:v>
                </c:pt>
                <c:pt idx="4">
                  <c:v>2080.4276608573987</c:v>
                </c:pt>
                <c:pt idx="5">
                  <c:v>1753.4687153210202</c:v>
                </c:pt>
                <c:pt idx="6">
                  <c:v>1305.413864030428</c:v>
                </c:pt>
                <c:pt idx="7">
                  <c:v>1305.413864030428</c:v>
                </c:pt>
              </c:numCache>
            </c:numRef>
          </c:yVal>
          <c:smooth val="1"/>
        </c:ser>
        <c:ser>
          <c:idx val="4"/>
          <c:order val="4"/>
          <c:tx>
            <c:v>Total Resistance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sheet'!$B$24:$I$24</c:f>
              <c:numCach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'Data sheet'!$B$27:$I$27</c:f>
              <c:numCache>
                <c:ptCount val="8"/>
                <c:pt idx="0">
                  <c:v>303.7176</c:v>
                </c:pt>
                <c:pt idx="1">
                  <c:v>327.7176</c:v>
                </c:pt>
                <c:pt idx="2">
                  <c:v>399.71760000000006</c:v>
                </c:pt>
                <c:pt idx="3">
                  <c:v>519.7176</c:v>
                </c:pt>
                <c:pt idx="4">
                  <c:v>687.7176000000002</c:v>
                </c:pt>
                <c:pt idx="5">
                  <c:v>903.7176</c:v>
                </c:pt>
                <c:pt idx="6">
                  <c:v>1167.7176</c:v>
                </c:pt>
                <c:pt idx="7">
                  <c:v>1479.7176</c:v>
                </c:pt>
              </c:numCache>
            </c:numRef>
          </c:yVal>
          <c:smooth val="1"/>
        </c:ser>
        <c:ser>
          <c:idx val="5"/>
          <c:order val="5"/>
          <c:tx>
            <c:v>5th gear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sheet'!$B$21:$I$21</c:f>
              <c:numCache>
                <c:ptCount val="8"/>
                <c:pt idx="0">
                  <c:v>32.10978381374723</c:v>
                </c:pt>
                <c:pt idx="1">
                  <c:v>64.21956762749446</c:v>
                </c:pt>
                <c:pt idx="2">
                  <c:v>96.32935144124168</c:v>
                </c:pt>
                <c:pt idx="3">
                  <c:v>128.4391352549889</c:v>
                </c:pt>
                <c:pt idx="4">
                  <c:v>160.54891906873613</c:v>
                </c:pt>
                <c:pt idx="5">
                  <c:v>192.65870288248337</c:v>
                </c:pt>
                <c:pt idx="6">
                  <c:v>224.76848669623058</c:v>
                </c:pt>
                <c:pt idx="7">
                  <c:v>224.76848669623058</c:v>
                </c:pt>
              </c:numCache>
            </c:numRef>
          </c:xVal>
          <c:yVal>
            <c:numRef>
              <c:f>'Data sheet'!$B$22:$I$22</c:f>
              <c:numCache>
                <c:ptCount val="8"/>
                <c:pt idx="0">
                  <c:v>1736.88823965183</c:v>
                </c:pt>
                <c:pt idx="1">
                  <c:v>1862.3325210231746</c:v>
                </c:pt>
                <c:pt idx="2">
                  <c:v>1891.3107241511284</c:v>
                </c:pt>
                <c:pt idx="3">
                  <c:v>1823.694916852569</c:v>
                </c:pt>
                <c:pt idx="4">
                  <c:v>1659.4850991274968</c:v>
                </c:pt>
                <c:pt idx="5">
                  <c:v>1398.681270975911</c:v>
                </c:pt>
                <c:pt idx="6">
                  <c:v>1041.283432397812</c:v>
                </c:pt>
                <c:pt idx="7">
                  <c:v>1041.283432397812</c:v>
                </c:pt>
              </c:numCache>
            </c:numRef>
          </c:yVal>
          <c:smooth val="1"/>
        </c:ser>
        <c:ser>
          <c:idx val="6"/>
          <c:order val="6"/>
          <c:tx>
            <c:v>GR 20%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sheet'!$B$24:$I$24</c:f>
              <c:numCach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'Data sheet'!$B$29:$I$29</c:f>
              <c:numCache>
                <c:ptCount val="8"/>
                <c:pt idx="0">
                  <c:v>3678.3576</c:v>
                </c:pt>
                <c:pt idx="1">
                  <c:v>3702.3576</c:v>
                </c:pt>
                <c:pt idx="2">
                  <c:v>3774.3576</c:v>
                </c:pt>
                <c:pt idx="3">
                  <c:v>3894.3576</c:v>
                </c:pt>
                <c:pt idx="4">
                  <c:v>4062.3576000000003</c:v>
                </c:pt>
                <c:pt idx="5">
                  <c:v>4278.357599999999</c:v>
                </c:pt>
                <c:pt idx="6">
                  <c:v>4542.357599999999</c:v>
                </c:pt>
                <c:pt idx="7">
                  <c:v>4854.357599999999</c:v>
                </c:pt>
              </c:numCache>
            </c:numRef>
          </c:yVal>
          <c:smooth val="1"/>
        </c:ser>
        <c:ser>
          <c:idx val="7"/>
          <c:order val="7"/>
          <c:tx>
            <c:v>GR 40%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sheet'!$B$24:$I$24</c:f>
              <c:numCach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</c:numCache>
            </c:numRef>
          </c:xVal>
          <c:yVal>
            <c:numRef>
              <c:f>'Data sheet'!$B$31:$I$31</c:f>
              <c:numCache>
                <c:ptCount val="8"/>
                <c:pt idx="0">
                  <c:v>7052.9976</c:v>
                </c:pt>
                <c:pt idx="1">
                  <c:v>7076.9976</c:v>
                </c:pt>
                <c:pt idx="2">
                  <c:v>7148.9976</c:v>
                </c:pt>
                <c:pt idx="3">
                  <c:v>7268.9976</c:v>
                </c:pt>
                <c:pt idx="4">
                  <c:v>7436.9976</c:v>
                </c:pt>
                <c:pt idx="5">
                  <c:v>7652.9976</c:v>
                </c:pt>
                <c:pt idx="6">
                  <c:v>7916.9976</c:v>
                </c:pt>
                <c:pt idx="7">
                  <c:v>8228.997599999999</c:v>
                </c:pt>
              </c:numCache>
            </c:numRef>
          </c:yVal>
          <c:smooth val="1"/>
        </c:ser>
        <c:axId val="56694136"/>
        <c:axId val="40485177"/>
      </c:scatterChart>
      <c:valAx>
        <c:axId val="56694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Car velocity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85177"/>
        <c:crosses val="autoZero"/>
        <c:crossBetween val="midCat"/>
        <c:dispUnits/>
        <c:majorUnit val="20"/>
      </c:valAx>
      <c:valAx>
        <c:axId val="40485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941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G7" sqref="G7"/>
    </sheetView>
  </sheetViews>
  <sheetFormatPr defaultColWidth="9.140625" defaultRowHeight="12.75"/>
  <cols>
    <col min="1" max="1" width="14.00390625" style="0" bestFit="1" customWidth="1"/>
    <col min="9" max="9" width="9.8515625" style="0" customWidth="1"/>
    <col min="10" max="10" width="11.7109375" style="0" bestFit="1" customWidth="1"/>
  </cols>
  <sheetData>
    <row r="1" spans="1:11" ht="12.75">
      <c r="A1" s="1" t="s">
        <v>0</v>
      </c>
      <c r="B1" s="10">
        <v>89</v>
      </c>
      <c r="D1" s="1" t="s">
        <v>30</v>
      </c>
      <c r="E1" s="36">
        <f>(J8/100)*(F8*25.4+2*B8*(D8/100))/(2*1000)</f>
        <v>0.27657</v>
      </c>
      <c r="G1" s="1" t="s">
        <v>2</v>
      </c>
      <c r="H1" s="13">
        <v>3.285</v>
      </c>
      <c r="J1" s="1" t="s">
        <v>16</v>
      </c>
      <c r="K1" s="13">
        <v>0.32</v>
      </c>
    </row>
    <row r="2" spans="1:11" ht="12.75">
      <c r="A2" s="1" t="s">
        <v>1</v>
      </c>
      <c r="B2" s="11">
        <v>5600</v>
      </c>
      <c r="D2" s="1" t="s">
        <v>8</v>
      </c>
      <c r="E2" s="10">
        <v>0.85</v>
      </c>
      <c r="G2" s="1" t="s">
        <v>3</v>
      </c>
      <c r="H2" s="13">
        <f>2.041</f>
        <v>2.041</v>
      </c>
      <c r="J2" s="1" t="s">
        <v>40</v>
      </c>
      <c r="K2" s="13">
        <v>1.2</v>
      </c>
    </row>
    <row r="3" spans="7:11" ht="12.75">
      <c r="G3" s="1" t="s">
        <v>4</v>
      </c>
      <c r="H3" s="13">
        <f>1.322</f>
        <v>1.322</v>
      </c>
      <c r="J3" s="1" t="s">
        <v>31</v>
      </c>
      <c r="K3" s="13">
        <v>1.8</v>
      </c>
    </row>
    <row r="4" spans="1:8" ht="12.75">
      <c r="A4" s="1" t="s">
        <v>33</v>
      </c>
      <c r="B4" s="1">
        <f>INT((B2+1500)/1000)*1000</f>
        <v>7000</v>
      </c>
      <c r="D4" s="1" t="s">
        <v>15</v>
      </c>
      <c r="E4" s="13">
        <v>0.018</v>
      </c>
      <c r="G4" s="1" t="s">
        <v>5</v>
      </c>
      <c r="H4" s="13">
        <v>1.028</v>
      </c>
    </row>
    <row r="5" spans="4:8" ht="12.75">
      <c r="D5" s="1" t="s">
        <v>32</v>
      </c>
      <c r="E5" s="11">
        <v>1720</v>
      </c>
      <c r="G5" s="1" t="s">
        <v>6</v>
      </c>
      <c r="H5" s="13">
        <f>3.96</f>
        <v>3.96</v>
      </c>
    </row>
    <row r="6" spans="4:11" ht="12.75">
      <c r="D6" s="4"/>
      <c r="G6" s="5" t="s">
        <v>22</v>
      </c>
      <c r="H6" s="14">
        <v>0.82</v>
      </c>
      <c r="I6" s="37" t="s">
        <v>36</v>
      </c>
      <c r="J6" s="38"/>
      <c r="K6" s="38"/>
    </row>
    <row r="7" spans="1:11" ht="12.75">
      <c r="A7" s="1" t="s">
        <v>25</v>
      </c>
      <c r="B7" s="8" t="s">
        <v>26</v>
      </c>
      <c r="C7" s="8" t="s">
        <v>27</v>
      </c>
      <c r="D7" s="8" t="s">
        <v>28</v>
      </c>
      <c r="E7" s="8" t="s">
        <v>29</v>
      </c>
      <c r="F7" s="8" t="s">
        <v>28</v>
      </c>
      <c r="G7" s="6"/>
      <c r="H7" s="41" t="s">
        <v>35</v>
      </c>
      <c r="I7" s="41"/>
      <c r="J7" s="41" t="s">
        <v>34</v>
      </c>
      <c r="K7" s="41"/>
    </row>
    <row r="8" spans="1:11" ht="12.75">
      <c r="A8" s="1"/>
      <c r="B8" s="12">
        <v>185</v>
      </c>
      <c r="C8" s="9" t="s">
        <v>27</v>
      </c>
      <c r="D8" s="12">
        <v>70</v>
      </c>
      <c r="E8" s="9" t="s">
        <v>29</v>
      </c>
      <c r="F8" s="12">
        <v>14</v>
      </c>
      <c r="H8" s="39"/>
      <c r="I8" s="40"/>
      <c r="J8" s="42">
        <v>90</v>
      </c>
      <c r="K8" s="43"/>
    </row>
    <row r="9" ht="13.5" thickBot="1"/>
    <row r="10" spans="1:10" ht="12.75">
      <c r="A10" s="15" t="s">
        <v>37</v>
      </c>
      <c r="B10" s="16">
        <f>IF(1000&lt;B4,1000,B4)</f>
        <v>1000</v>
      </c>
      <c r="C10" s="16">
        <f>IF(2000&lt;B4,2000,B4)</f>
        <v>2000</v>
      </c>
      <c r="D10" s="16">
        <f>IF(3000&lt;B4,3000,B4)</f>
        <v>3000</v>
      </c>
      <c r="E10" s="16">
        <f>IF(4000&lt;B4,4000,B4)</f>
        <v>4000</v>
      </c>
      <c r="F10" s="16">
        <f>IF(5000&lt;B4,5000,B4)</f>
        <v>5000</v>
      </c>
      <c r="G10" s="16">
        <f>IF(6000&lt;B4,6000,B4)</f>
        <v>6000</v>
      </c>
      <c r="H10" s="16">
        <f>IF(7000&lt;B4,7000,B4)</f>
        <v>7000</v>
      </c>
      <c r="I10" s="17">
        <f>IF(8000&lt;B4,8000,B4)</f>
        <v>7000</v>
      </c>
      <c r="J10" s="7"/>
    </row>
    <row r="11" spans="1:9" ht="12.75">
      <c r="A11" s="18" t="s">
        <v>38</v>
      </c>
      <c r="B11" s="2">
        <f>B1*((B10/B2)+(B10/B2)^2-(B10/B2)^3)</f>
        <v>18.224079810495628</v>
      </c>
      <c r="C11" s="2">
        <f>B1*((C10/B2)+(C10/B2)^2-(C10/B2)^3)</f>
        <v>39.08345481049563</v>
      </c>
      <c r="D11" s="2">
        <f>B1*((D10/B2)+(D10/B2)^2-(D10/B2)^3)</f>
        <v>59.5373997813411</v>
      </c>
      <c r="E11" s="2">
        <f>B1*((E10/B2)+(E10/B2)^2-(E10/B2)^3)</f>
        <v>76.54518950437317</v>
      </c>
      <c r="F11" s="2">
        <f>B1*((F10/B2)+(F10/B2)^2-(F10/B2)^3)</f>
        <v>87.06609876093295</v>
      </c>
      <c r="G11" s="2">
        <f>B1*((G10/B2)+(G10/B2)^2-(G10/B2)^3)</f>
        <v>88.05940233236153</v>
      </c>
      <c r="H11" s="2">
        <f>B1*((H10/B2)+(H10/B2)^2-(H10/B2)^3)</f>
        <v>76.484375</v>
      </c>
      <c r="I11" s="19">
        <f>B1*((I10/B2)+(I10/B2)^2-(I10/B2)^3)</f>
        <v>76.484375</v>
      </c>
    </row>
    <row r="12" spans="1:9" ht="13.5" thickBot="1">
      <c r="A12" s="20" t="s">
        <v>39</v>
      </c>
      <c r="B12" s="21">
        <f>9550*B11/B10</f>
        <v>174.03996219023327</v>
      </c>
      <c r="C12" s="21">
        <f aca="true" t="shared" si="0" ref="C12:I12">C11*60*1000/(2*PI()*C10)</f>
        <v>186.6097507859729</v>
      </c>
      <c r="D12" s="21">
        <f t="shared" si="0"/>
        <v>189.5134294807753</v>
      </c>
      <c r="E12" s="21">
        <f t="shared" si="0"/>
        <v>182.73817919290286</v>
      </c>
      <c r="F12" s="21">
        <f t="shared" si="0"/>
        <v>166.28399992235546</v>
      </c>
      <c r="G12" s="21">
        <f t="shared" si="0"/>
        <v>140.15089166913313</v>
      </c>
      <c r="H12" s="21">
        <f t="shared" si="0"/>
        <v>104.33885443323585</v>
      </c>
      <c r="I12" s="22">
        <f t="shared" si="0"/>
        <v>104.33885443323585</v>
      </c>
    </row>
    <row r="13" spans="1:9" ht="12.75">
      <c r="A13" s="23" t="s">
        <v>7</v>
      </c>
      <c r="B13" s="24">
        <f aca="true" t="shared" si="1" ref="B13:I13">0.377*B10*rw/(ig_1*if)</f>
        <v>8.015227618652274</v>
      </c>
      <c r="C13" s="24">
        <f t="shared" si="1"/>
        <v>16.030455237304547</v>
      </c>
      <c r="D13" s="24">
        <f t="shared" si="1"/>
        <v>24.045682855956823</v>
      </c>
      <c r="E13" s="24">
        <f t="shared" si="1"/>
        <v>32.060910474609095</v>
      </c>
      <c r="F13" s="24">
        <f t="shared" si="1"/>
        <v>40.07613809326137</v>
      </c>
      <c r="G13" s="24">
        <f t="shared" si="1"/>
        <v>48.091365711913646</v>
      </c>
      <c r="H13" s="24">
        <f t="shared" si="1"/>
        <v>56.10659333056592</v>
      </c>
      <c r="I13" s="25">
        <f t="shared" si="1"/>
        <v>56.10659333056592</v>
      </c>
    </row>
    <row r="14" spans="1:9" ht="13.5" thickBot="1">
      <c r="A14" s="26" t="s">
        <v>10</v>
      </c>
      <c r="B14" s="27">
        <f aca="true" t="shared" si="2" ref="B14:I14">B12*ig_1*if*Eta/rw</f>
        <v>6958.143740556418</v>
      </c>
      <c r="C14" s="27">
        <f t="shared" si="2"/>
        <v>7460.685770196499</v>
      </c>
      <c r="D14" s="27">
        <f t="shared" si="2"/>
        <v>7576.775279068849</v>
      </c>
      <c r="E14" s="27">
        <f t="shared" si="2"/>
        <v>7305.899758366695</v>
      </c>
      <c r="F14" s="27">
        <f t="shared" si="2"/>
        <v>6648.059208090034</v>
      </c>
      <c r="G14" s="27">
        <f t="shared" si="2"/>
        <v>5603.253628238865</v>
      </c>
      <c r="H14" s="27">
        <f t="shared" si="2"/>
        <v>4171.483018813187</v>
      </c>
      <c r="I14" s="28">
        <f t="shared" si="2"/>
        <v>4171.483018813187</v>
      </c>
    </row>
    <row r="15" spans="1:9" ht="12.75">
      <c r="A15" s="15" t="s">
        <v>9</v>
      </c>
      <c r="B15" s="29">
        <f aca="true" t="shared" si="3" ref="B15:I15">0.377*B10*rw/(ig_2*if)</f>
        <v>12.90055008685582</v>
      </c>
      <c r="C15" s="29">
        <f t="shared" si="3"/>
        <v>25.80110017371164</v>
      </c>
      <c r="D15" s="29">
        <f t="shared" si="3"/>
        <v>38.701650260567455</v>
      </c>
      <c r="E15" s="29">
        <f t="shared" si="3"/>
        <v>51.60220034742328</v>
      </c>
      <c r="F15" s="29">
        <f t="shared" si="3"/>
        <v>64.5027504342791</v>
      </c>
      <c r="G15" s="29">
        <f t="shared" si="3"/>
        <v>77.40330052113491</v>
      </c>
      <c r="H15" s="29">
        <f t="shared" si="3"/>
        <v>90.30385060799073</v>
      </c>
      <c r="I15" s="30">
        <f t="shared" si="3"/>
        <v>90.30385060799073</v>
      </c>
    </row>
    <row r="16" spans="1:9" ht="13.5" thickBot="1">
      <c r="A16" s="20" t="s">
        <v>11</v>
      </c>
      <c r="B16" s="31">
        <f aca="true" t="shared" si="4" ref="B16:I16">B12*ig_2*if*Eta/rw</f>
        <v>4323.1571916212015</v>
      </c>
      <c r="C16" s="31">
        <f t="shared" si="4"/>
        <v>4635.391067571098</v>
      </c>
      <c r="D16" s="31">
        <f t="shared" si="4"/>
        <v>4707.5185219420155</v>
      </c>
      <c r="E16" s="31">
        <f t="shared" si="4"/>
        <v>4539.22112840987</v>
      </c>
      <c r="F16" s="31">
        <f t="shared" si="4"/>
        <v>4130.498886974659</v>
      </c>
      <c r="G16" s="31">
        <f t="shared" si="4"/>
        <v>3481.3517976363833</v>
      </c>
      <c r="H16" s="31">
        <f t="shared" si="4"/>
        <v>2591.7798603950423</v>
      </c>
      <c r="I16" s="32">
        <f t="shared" si="4"/>
        <v>2591.7798603950423</v>
      </c>
    </row>
    <row r="17" spans="1:9" ht="12.75">
      <c r="A17" s="23" t="s">
        <v>12</v>
      </c>
      <c r="B17" s="24">
        <f aca="true" t="shared" si="5" ref="B17:I17">0.377*B10*rw/(ig_3*if)</f>
        <v>19.91680992985834</v>
      </c>
      <c r="C17" s="24">
        <f t="shared" si="5"/>
        <v>39.83361985971668</v>
      </c>
      <c r="D17" s="24">
        <f t="shared" si="5"/>
        <v>59.750429789575016</v>
      </c>
      <c r="E17" s="24">
        <f t="shared" si="5"/>
        <v>79.66723971943335</v>
      </c>
      <c r="F17" s="24">
        <f t="shared" si="5"/>
        <v>99.58404964929169</v>
      </c>
      <c r="G17" s="24">
        <f t="shared" si="5"/>
        <v>119.50085957915003</v>
      </c>
      <c r="H17" s="24">
        <f t="shared" si="5"/>
        <v>139.41766950900836</v>
      </c>
      <c r="I17" s="25">
        <f t="shared" si="5"/>
        <v>139.41766950900836</v>
      </c>
    </row>
    <row r="18" spans="1:9" ht="13.5" thickBot="1">
      <c r="A18" s="26" t="s">
        <v>13</v>
      </c>
      <c r="B18" s="27">
        <f aca="true" t="shared" si="6" ref="B18:I18">B12*ig_3*if*Eta/rw</f>
        <v>2800.2027473411213</v>
      </c>
      <c r="C18" s="27">
        <f t="shared" si="6"/>
        <v>3002.44340584468</v>
      </c>
      <c r="D18" s="27">
        <f t="shared" si="6"/>
        <v>3049.1619235704775</v>
      </c>
      <c r="E18" s="27">
        <f t="shared" si="6"/>
        <v>2940.152048876947</v>
      </c>
      <c r="F18" s="27">
        <f t="shared" si="6"/>
        <v>2675.4137817640867</v>
      </c>
      <c r="G18" s="27">
        <f t="shared" si="6"/>
        <v>2254.947122231896</v>
      </c>
      <c r="H18" s="27">
        <f t="shared" si="6"/>
        <v>1678.7520702803754</v>
      </c>
      <c r="I18" s="28">
        <f t="shared" si="6"/>
        <v>1678.7520702803754</v>
      </c>
    </row>
    <row r="19" spans="1:9" ht="12.75">
      <c r="A19" s="15" t="s">
        <v>17</v>
      </c>
      <c r="B19" s="29">
        <f>0.377*B10*rw/(ig_4*if)</f>
        <v>25.61286257516802</v>
      </c>
      <c r="C19" s="29">
        <f aca="true" t="shared" si="7" ref="C19:I19">0.377*C10*rw/(ig_4*if)</f>
        <v>51.22572515033604</v>
      </c>
      <c r="D19" s="29">
        <f t="shared" si="7"/>
        <v>76.83858772550407</v>
      </c>
      <c r="E19" s="29">
        <f t="shared" si="7"/>
        <v>102.45145030067208</v>
      </c>
      <c r="F19" s="29">
        <f t="shared" si="7"/>
        <v>128.0643128758401</v>
      </c>
      <c r="G19" s="29">
        <f t="shared" si="7"/>
        <v>153.67717545100814</v>
      </c>
      <c r="H19" s="29">
        <f t="shared" si="7"/>
        <v>179.29003802617615</v>
      </c>
      <c r="I19" s="30">
        <f t="shared" si="7"/>
        <v>179.29003802617615</v>
      </c>
    </row>
    <row r="20" spans="1:9" ht="13.5" thickBot="1">
      <c r="A20" s="20" t="s">
        <v>14</v>
      </c>
      <c r="B20" s="31">
        <f>B12*ig_4*if*Eta/rw</f>
        <v>2177.464768734246</v>
      </c>
      <c r="C20" s="31">
        <f aca="true" t="shared" si="8" ref="C20:I20">C12*ig_4*if*Eta/rw</f>
        <v>2334.7290629412487</v>
      </c>
      <c r="D20" s="31">
        <f t="shared" si="8"/>
        <v>2371.057834667512</v>
      </c>
      <c r="E20" s="31">
        <f t="shared" si="8"/>
        <v>2286.2907006395626</v>
      </c>
      <c r="F20" s="31">
        <f t="shared" si="8"/>
        <v>2080.4276608573987</v>
      </c>
      <c r="G20" s="31">
        <f t="shared" si="8"/>
        <v>1753.4687153210202</v>
      </c>
      <c r="H20" s="31">
        <f t="shared" si="8"/>
        <v>1305.413864030428</v>
      </c>
      <c r="I20" s="32">
        <f t="shared" si="8"/>
        <v>1305.413864030428</v>
      </c>
    </row>
    <row r="21" spans="1:9" ht="12.75">
      <c r="A21" s="23" t="s">
        <v>24</v>
      </c>
      <c r="B21" s="33">
        <f aca="true" t="shared" si="9" ref="B21:I21">IF(ig_5=0,0,0.377*B10*rw/(ig_5*if))</f>
        <v>32.10978381374723</v>
      </c>
      <c r="C21" s="33">
        <f t="shared" si="9"/>
        <v>64.21956762749446</v>
      </c>
      <c r="D21" s="33">
        <f t="shared" si="9"/>
        <v>96.32935144124168</v>
      </c>
      <c r="E21" s="33">
        <f t="shared" si="9"/>
        <v>128.4391352549889</v>
      </c>
      <c r="F21" s="33">
        <f t="shared" si="9"/>
        <v>160.54891906873613</v>
      </c>
      <c r="G21" s="33">
        <f t="shared" si="9"/>
        <v>192.65870288248337</v>
      </c>
      <c r="H21" s="33">
        <f t="shared" si="9"/>
        <v>224.76848669623058</v>
      </c>
      <c r="I21" s="34">
        <f t="shared" si="9"/>
        <v>224.76848669623058</v>
      </c>
    </row>
    <row r="22" spans="1:9" ht="13.5" thickBot="1">
      <c r="A22" s="26" t="s">
        <v>23</v>
      </c>
      <c r="B22" s="27">
        <f aca="true" t="shared" si="10" ref="B22:I22">B12*ig_5*if*Eta/rw</f>
        <v>1736.88823965183</v>
      </c>
      <c r="C22" s="27">
        <f t="shared" si="10"/>
        <v>1862.3325210231746</v>
      </c>
      <c r="D22" s="27">
        <f t="shared" si="10"/>
        <v>1891.3107241511284</v>
      </c>
      <c r="E22" s="27">
        <f t="shared" si="10"/>
        <v>1823.694916852569</v>
      </c>
      <c r="F22" s="27">
        <f t="shared" si="10"/>
        <v>1659.4850991274968</v>
      </c>
      <c r="G22" s="27">
        <f t="shared" si="10"/>
        <v>1398.681270975911</v>
      </c>
      <c r="H22" s="27">
        <f t="shared" si="10"/>
        <v>1041.283432397812</v>
      </c>
      <c r="I22" s="28">
        <f t="shared" si="10"/>
        <v>1041.283432397812</v>
      </c>
    </row>
    <row r="23" ht="13.5" thickBot="1"/>
    <row r="24" spans="1:9" ht="12.75">
      <c r="A24" s="15" t="s">
        <v>18</v>
      </c>
      <c r="B24" s="16">
        <v>0</v>
      </c>
      <c r="C24" s="16">
        <v>30</v>
      </c>
      <c r="D24" s="16">
        <v>60</v>
      </c>
      <c r="E24" s="16">
        <v>90</v>
      </c>
      <c r="F24" s="16">
        <v>120</v>
      </c>
      <c r="G24" s="16">
        <v>150</v>
      </c>
      <c r="H24" s="16">
        <v>180</v>
      </c>
      <c r="I24" s="17">
        <v>210</v>
      </c>
    </row>
    <row r="25" spans="1:9" ht="12.75">
      <c r="A25" s="18" t="s">
        <v>19</v>
      </c>
      <c r="B25" s="1">
        <f aca="true" t="shared" si="11" ref="B25:I25">0.5*Row*CD*Af*(V/3.6)^2</f>
        <v>0</v>
      </c>
      <c r="C25" s="3">
        <f t="shared" si="11"/>
        <v>24.000000000000007</v>
      </c>
      <c r="D25" s="1">
        <f t="shared" si="11"/>
        <v>96.00000000000003</v>
      </c>
      <c r="E25" s="3">
        <f t="shared" si="11"/>
        <v>216</v>
      </c>
      <c r="F25" s="1">
        <f t="shared" si="11"/>
        <v>384.0000000000001</v>
      </c>
      <c r="G25" s="3">
        <f t="shared" si="11"/>
        <v>600</v>
      </c>
      <c r="H25" s="1">
        <f t="shared" si="11"/>
        <v>864</v>
      </c>
      <c r="I25" s="35">
        <f t="shared" si="11"/>
        <v>1176</v>
      </c>
    </row>
    <row r="26" spans="1:9" ht="12.75">
      <c r="A26" s="18" t="s">
        <v>20</v>
      </c>
      <c r="B26" s="3">
        <f aca="true" t="shared" si="12" ref="B26:I26">fr*m*9.81</f>
        <v>303.7176</v>
      </c>
      <c r="C26" s="3">
        <f t="shared" si="12"/>
        <v>303.7176</v>
      </c>
      <c r="D26" s="3">
        <f t="shared" si="12"/>
        <v>303.7176</v>
      </c>
      <c r="E26" s="3">
        <f t="shared" si="12"/>
        <v>303.7176</v>
      </c>
      <c r="F26" s="3">
        <f t="shared" si="12"/>
        <v>303.7176</v>
      </c>
      <c r="G26" s="3">
        <f t="shared" si="12"/>
        <v>303.7176</v>
      </c>
      <c r="H26" s="3">
        <f t="shared" si="12"/>
        <v>303.7176</v>
      </c>
      <c r="I26" s="35">
        <f t="shared" si="12"/>
        <v>303.7176</v>
      </c>
    </row>
    <row r="27" spans="1:9" ht="13.5" thickBot="1">
      <c r="A27" s="20" t="s">
        <v>21</v>
      </c>
      <c r="B27" s="31">
        <f aca="true" t="shared" si="13" ref="B27:I27">AR+RR</f>
        <v>303.7176</v>
      </c>
      <c r="C27" s="31">
        <f t="shared" si="13"/>
        <v>327.7176</v>
      </c>
      <c r="D27" s="31">
        <f t="shared" si="13"/>
        <v>399.71760000000006</v>
      </c>
      <c r="E27" s="31">
        <f t="shared" si="13"/>
        <v>519.7176</v>
      </c>
      <c r="F27" s="31">
        <f t="shared" si="13"/>
        <v>687.7176000000002</v>
      </c>
      <c r="G27" s="31">
        <f t="shared" si="13"/>
        <v>903.7176</v>
      </c>
      <c r="H27" s="31">
        <f t="shared" si="13"/>
        <v>1167.7176</v>
      </c>
      <c r="I27" s="32">
        <f t="shared" si="13"/>
        <v>1479.7176</v>
      </c>
    </row>
    <row r="28" spans="1:9" ht="12.75">
      <c r="A28" s="6" t="s">
        <v>41</v>
      </c>
      <c r="B28" s="44">
        <f>m*9.81*20/100</f>
        <v>3374.64</v>
      </c>
      <c r="C28" s="44">
        <f>m*9.81*20/100</f>
        <v>3374.64</v>
      </c>
      <c r="D28" s="44">
        <f>m*9.81*20/100</f>
        <v>3374.64</v>
      </c>
      <c r="E28" s="44">
        <f>m*9.81*20/100</f>
        <v>3374.64</v>
      </c>
      <c r="F28" s="44">
        <f>m*9.81*20/100</f>
        <v>3374.64</v>
      </c>
      <c r="G28" s="44">
        <f>m*9.81*20/100</f>
        <v>3374.64</v>
      </c>
      <c r="H28" s="44">
        <f>m*9.81*20/100</f>
        <v>3374.64</v>
      </c>
      <c r="I28" s="44">
        <f>m*9.81*20/100</f>
        <v>3374.64</v>
      </c>
    </row>
    <row r="29" spans="1:9" ht="12.75">
      <c r="A29" s="6" t="s">
        <v>42</v>
      </c>
      <c r="B29" s="44">
        <f>TR+GR2P</f>
        <v>3678.3576</v>
      </c>
      <c r="C29" s="44">
        <f>TR+GR2P</f>
        <v>3702.3576</v>
      </c>
      <c r="D29" s="44">
        <f>TR+GR2P</f>
        <v>3774.3576</v>
      </c>
      <c r="E29" s="44">
        <f>TR+GR2P</f>
        <v>3894.3576</v>
      </c>
      <c r="F29" s="44">
        <f>TR+GR2P</f>
        <v>4062.3576000000003</v>
      </c>
      <c r="G29" s="44">
        <f>TR+GR2P</f>
        <v>4278.357599999999</v>
      </c>
      <c r="H29" s="44">
        <f>TR+GR2P</f>
        <v>4542.357599999999</v>
      </c>
      <c r="I29" s="44">
        <f>TR+GR2P</f>
        <v>4854.357599999999</v>
      </c>
    </row>
    <row r="30" spans="1:9" ht="12.75">
      <c r="A30" s="6" t="s">
        <v>43</v>
      </c>
      <c r="B30">
        <f>m*9.81*40/100</f>
        <v>6749.28</v>
      </c>
      <c r="C30">
        <f>m*9.81*40/100</f>
        <v>6749.28</v>
      </c>
      <c r="D30">
        <f>m*9.81*40/100</f>
        <v>6749.28</v>
      </c>
      <c r="E30">
        <f>m*9.81*40/100</f>
        <v>6749.28</v>
      </c>
      <c r="F30">
        <f>m*9.81*40/100</f>
        <v>6749.28</v>
      </c>
      <c r="G30">
        <f>m*9.81*40/100</f>
        <v>6749.28</v>
      </c>
      <c r="H30">
        <f>m*9.81*40/100</f>
        <v>6749.28</v>
      </c>
      <c r="I30">
        <f>m*9.81*40/100</f>
        <v>6749.28</v>
      </c>
    </row>
    <row r="31" spans="1:9" ht="12.75">
      <c r="A31" s="6" t="s">
        <v>44</v>
      </c>
      <c r="B31" s="44">
        <f>B27+B30</f>
        <v>7052.9976</v>
      </c>
      <c r="C31" s="44">
        <f aca="true" t="shared" si="14" ref="C31:I31">C27+C30</f>
        <v>7076.9976</v>
      </c>
      <c r="D31" s="44">
        <f t="shared" si="14"/>
        <v>7148.9976</v>
      </c>
      <c r="E31" s="44">
        <f t="shared" si="14"/>
        <v>7268.9976</v>
      </c>
      <c r="F31" s="44">
        <f t="shared" si="14"/>
        <v>7436.9976</v>
      </c>
      <c r="G31" s="44">
        <f t="shared" si="14"/>
        <v>7652.9976</v>
      </c>
      <c r="H31" s="44">
        <f t="shared" si="14"/>
        <v>7916.9976</v>
      </c>
      <c r="I31" s="44">
        <f t="shared" si="14"/>
        <v>8228.997599999999</v>
      </c>
    </row>
  </sheetData>
  <sheetProtection formatCells="0" selectLockedCells="1"/>
  <mergeCells count="5">
    <mergeCell ref="I6:K6"/>
    <mergeCell ref="H8:I8"/>
    <mergeCell ref="H7:I7"/>
    <mergeCell ref="J7:K7"/>
    <mergeCell ref="J8:K8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 Mourad</dc:creator>
  <cp:keywords/>
  <dc:description/>
  <cp:lastModifiedBy>Kassem Mourad</cp:lastModifiedBy>
  <cp:lastPrinted>2005-12-26T03:51:31Z</cp:lastPrinted>
  <dcterms:created xsi:type="dcterms:W3CDTF">2005-12-19T16:39:37Z</dcterms:created>
  <dcterms:modified xsi:type="dcterms:W3CDTF">2005-12-26T03:52:17Z</dcterms:modified>
  <cp:category/>
  <cp:version/>
  <cp:contentType/>
  <cp:contentStatus/>
</cp:coreProperties>
</file>